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arbara\AMMINISTRAZIONE TRASPARENTE\2022\Indicatori dei pagamenti\"/>
    </mc:Choice>
  </mc:AlternateContent>
  <xr:revisionPtr revIDLastSave="0" documentId="13_ncr:1_{7EDFA488-03C6-404E-961E-8BA6F3B24FC6}" xr6:coauthVersionLast="47" xr6:coauthVersionMax="47" xr10:uidLastSave="{00000000-0000-0000-0000-000000000000}"/>
  <bookViews>
    <workbookView xWindow="-120" yWindow="-120" windowWidth="29040" windowHeight="15840" activeTab="1" xr2:uid="{722ECDE4-A9C1-4D62-BF90-D31FA4A30E7C}"/>
  </bookViews>
  <sheets>
    <sheet name="annuale" sheetId="2" r:id="rId1"/>
    <sheet name="trimestral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3" l="1"/>
  <c r="P7" i="3"/>
  <c r="N7" i="3"/>
  <c r="H7" i="2"/>
  <c r="J11" i="2"/>
  <c r="J7" i="3"/>
  <c r="R20" i="3" l="1"/>
  <c r="P20" i="3"/>
  <c r="N20" i="3"/>
  <c r="R19" i="3"/>
  <c r="N19" i="3"/>
  <c r="P19" i="3"/>
  <c r="J20" i="2"/>
  <c r="J19" i="2"/>
  <c r="J7" i="2"/>
  <c r="R11" i="3" l="1"/>
  <c r="P11" i="3"/>
  <c r="R5" i="3"/>
  <c r="R9" i="3" s="1"/>
  <c r="P5" i="3"/>
  <c r="P9" i="3" s="1"/>
  <c r="H11" i="2"/>
  <c r="J5" i="2"/>
  <c r="J9" i="2" s="1"/>
  <c r="J13" i="2" s="1"/>
  <c r="N9" i="3"/>
  <c r="N5" i="3"/>
  <c r="L7" i="3"/>
  <c r="L20" i="3"/>
  <c r="L11" i="3" s="1"/>
  <c r="L19" i="3"/>
  <c r="L5" i="3"/>
  <c r="L9" i="3" s="1"/>
  <c r="H20" i="2"/>
  <c r="J20" i="3"/>
  <c r="J11" i="3" s="1"/>
  <c r="J19" i="3"/>
  <c r="H19" i="3"/>
  <c r="H20" i="3"/>
  <c r="F19" i="3"/>
  <c r="F20" i="3"/>
  <c r="D20" i="3"/>
  <c r="D11" i="3" s="1"/>
  <c r="D13" i="3" s="1"/>
  <c r="D19" i="3"/>
  <c r="J9" i="3"/>
  <c r="J5" i="3"/>
  <c r="H7" i="3"/>
  <c r="F9" i="3"/>
  <c r="F7" i="3"/>
  <c r="H5" i="3"/>
  <c r="D7" i="3"/>
  <c r="F5" i="3" s="1"/>
  <c r="D5" i="3"/>
  <c r="D11" i="2"/>
  <c r="D5" i="2"/>
  <c r="H19" i="2"/>
  <c r="D7" i="2"/>
  <c r="D19" i="2"/>
  <c r="D20" i="2"/>
  <c r="L13" i="3" l="1"/>
  <c r="R13" i="3"/>
  <c r="P13" i="3"/>
  <c r="N11" i="3"/>
  <c r="N13" i="3" s="1"/>
  <c r="J13" i="3"/>
  <c r="H11" i="3"/>
  <c r="H13" i="3" s="1"/>
  <c r="F11" i="3"/>
  <c r="F13" i="3" s="1"/>
  <c r="H9" i="3"/>
  <c r="D9" i="3"/>
  <c r="F5" i="2"/>
  <c r="F9" i="2" s="1"/>
  <c r="F11" i="2"/>
  <c r="F7" i="2"/>
  <c r="F20" i="2"/>
  <c r="F19" i="2"/>
  <c r="H5" i="2"/>
  <c r="H9" i="2" s="1"/>
  <c r="H13" i="2" s="1"/>
  <c r="D9" i="2"/>
  <c r="D13" i="2" s="1"/>
  <c r="F13" i="2" l="1"/>
</calcChain>
</file>

<file path=xl/sharedStrings.xml><?xml version="1.0" encoding="utf-8"?>
<sst xmlns="http://schemas.openxmlformats.org/spreadsheetml/2006/main" count="38" uniqueCount="22">
  <si>
    <t>debiti verso fornitori</t>
  </si>
  <si>
    <t xml:space="preserve">fine esercizio </t>
  </si>
  <si>
    <t>inizio esercizio</t>
  </si>
  <si>
    <t>costi esercizio</t>
  </si>
  <si>
    <t>media</t>
  </si>
  <si>
    <t xml:space="preserve">numero di giorni </t>
  </si>
  <si>
    <t>effettuazione pagamenti</t>
  </si>
  <si>
    <t>esercizi</t>
  </si>
  <si>
    <t xml:space="preserve">numero di fornitori </t>
  </si>
  <si>
    <t>aperti a fine esercizio</t>
  </si>
  <si>
    <t>B6</t>
  </si>
  <si>
    <t>B7</t>
  </si>
  <si>
    <t>B8</t>
  </si>
  <si>
    <t>- fatture da ricevere</t>
  </si>
  <si>
    <t>I trim</t>
  </si>
  <si>
    <t>II trim</t>
  </si>
  <si>
    <t>III trim</t>
  </si>
  <si>
    <t>IV trim</t>
  </si>
  <si>
    <t xml:space="preserve">inizio </t>
  </si>
  <si>
    <t xml:space="preserve">fine </t>
  </si>
  <si>
    <t>10061-10064</t>
  </si>
  <si>
    <t>da10101 a 10104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</si>
</sst>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1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3" fontId="0" fillId="0" borderId="0" xfId="0" applyNumberFormat="1" applyFill="1"/>
    <xf numFmtId="1" fontId="2" fillId="0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CD91-DF84-4575-AD1A-64F21B7768D6}">
  <dimension ref="A1:J26"/>
  <sheetViews>
    <sheetView workbookViewId="0">
      <selection activeCell="H27" sqref="H27"/>
    </sheetView>
  </sheetViews>
  <sheetFormatPr defaultRowHeight="15" x14ac:dyDescent="0.25"/>
  <cols>
    <col min="1" max="1" width="12.7109375" customWidth="1"/>
    <col min="4" max="4" width="9.42578125" style="4" bestFit="1" customWidth="1"/>
    <col min="5" max="8" width="9.140625" style="4"/>
    <col min="10" max="10" width="10.7109375" bestFit="1" customWidth="1"/>
  </cols>
  <sheetData>
    <row r="1" spans="1:10" s="7" customFormat="1" x14ac:dyDescent="0.25">
      <c r="A1" s="7" t="s">
        <v>7</v>
      </c>
      <c r="D1" s="8">
        <v>2019</v>
      </c>
      <c r="E1" s="8"/>
      <c r="F1" s="8">
        <v>2020</v>
      </c>
      <c r="G1" s="8"/>
      <c r="H1" s="8">
        <v>2021</v>
      </c>
      <c r="J1" s="8">
        <v>2022</v>
      </c>
    </row>
    <row r="3" spans="1:10" x14ac:dyDescent="0.25">
      <c r="A3" s="1" t="s">
        <v>0</v>
      </c>
    </row>
    <row r="5" spans="1:10" s="2" customFormat="1" x14ac:dyDescent="0.25">
      <c r="A5" s="2" t="s">
        <v>2</v>
      </c>
      <c r="D5" s="5">
        <f>275957-102076</f>
        <v>173881</v>
      </c>
      <c r="E5" s="5"/>
      <c r="F5" s="5">
        <f>+D7</f>
        <v>124460</v>
      </c>
      <c r="G5" s="5"/>
      <c r="H5" s="5">
        <f>+F7</f>
        <v>98002</v>
      </c>
      <c r="J5" s="5">
        <f>+H7</f>
        <v>163333</v>
      </c>
    </row>
    <row r="6" spans="1:10" s="2" customFormat="1" x14ac:dyDescent="0.25">
      <c r="D6" s="5"/>
      <c r="E6" s="5"/>
      <c r="F6" s="5"/>
      <c r="G6" s="5"/>
      <c r="H6" s="5"/>
      <c r="J6" s="5"/>
    </row>
    <row r="7" spans="1:10" s="2" customFormat="1" x14ac:dyDescent="0.25">
      <c r="A7" s="2" t="s">
        <v>1</v>
      </c>
      <c r="D7" s="5">
        <f>243026-118566</f>
        <v>124460</v>
      </c>
      <c r="E7" s="5"/>
      <c r="F7" s="5">
        <f>214568-116566</f>
        <v>98002</v>
      </c>
      <c r="G7" s="5"/>
      <c r="H7" s="5">
        <f>274423-111090</f>
        <v>163333</v>
      </c>
      <c r="J7" s="5">
        <f>297113+J22</f>
        <v>202139</v>
      </c>
    </row>
    <row r="9" spans="1:10" x14ac:dyDescent="0.25">
      <c r="A9" t="s">
        <v>4</v>
      </c>
      <c r="D9" s="9">
        <f>1/2*(D5+D7)</f>
        <v>149170.5</v>
      </c>
      <c r="F9" s="4">
        <f>1/2*(F5+F7)</f>
        <v>111231</v>
      </c>
      <c r="H9" s="9">
        <f>1/2*(H5+H7)</f>
        <v>130667.5</v>
      </c>
      <c r="J9" s="9">
        <f>1/2*(J5+J7)</f>
        <v>182736</v>
      </c>
    </row>
    <row r="11" spans="1:10" x14ac:dyDescent="0.25">
      <c r="A11" s="1" t="s">
        <v>3</v>
      </c>
      <c r="D11" s="4">
        <f>SUM(D19:D22)</f>
        <v>785685</v>
      </c>
      <c r="F11" s="4">
        <f>SUM(F19:F22)</f>
        <v>610435</v>
      </c>
      <c r="H11" s="4">
        <f>SUM(H19:H22)</f>
        <v>777112</v>
      </c>
      <c r="J11" s="4">
        <f>SUM(J19:J22)</f>
        <v>775692</v>
      </c>
    </row>
    <row r="13" spans="1:10" x14ac:dyDescent="0.25">
      <c r="A13" s="1" t="s">
        <v>5</v>
      </c>
      <c r="D13" s="6">
        <f>365*D9/D11</f>
        <v>69.299060692262159</v>
      </c>
      <c r="E13" s="3"/>
      <c r="F13" s="6">
        <f>365*F9/F11</f>
        <v>66.508825673495124</v>
      </c>
      <c r="G13" s="3"/>
      <c r="H13" s="6">
        <f>365*H9/H11</f>
        <v>61.372926296338235</v>
      </c>
      <c r="J13" s="6">
        <f>365*J9/J11</f>
        <v>85.985984127720798</v>
      </c>
    </row>
    <row r="14" spans="1:10" x14ac:dyDescent="0.25">
      <c r="A14" s="1" t="s">
        <v>6</v>
      </c>
    </row>
    <row r="16" spans="1:10" x14ac:dyDescent="0.25">
      <c r="A16" s="1" t="s">
        <v>8</v>
      </c>
      <c r="D16" s="4">
        <v>40</v>
      </c>
      <c r="F16" s="4">
        <v>33</v>
      </c>
      <c r="H16" s="4">
        <v>36</v>
      </c>
      <c r="J16" s="4">
        <v>49</v>
      </c>
    </row>
    <row r="17" spans="1:10" x14ac:dyDescent="0.25">
      <c r="A17" s="1" t="s">
        <v>9</v>
      </c>
    </row>
    <row r="19" spans="1:10" hidden="1" x14ac:dyDescent="0.25">
      <c r="A19" s="10" t="s">
        <v>10</v>
      </c>
      <c r="B19" s="11"/>
      <c r="C19" s="11"/>
      <c r="D19" s="12">
        <f>469551+117870</f>
        <v>587421</v>
      </c>
      <c r="E19" s="12"/>
      <c r="F19" s="12">
        <f>99983+1543+184256</f>
        <v>285782</v>
      </c>
      <c r="G19" s="12"/>
      <c r="H19" s="12">
        <f>180836+236201</f>
        <v>417037</v>
      </c>
      <c r="I19" s="11"/>
      <c r="J19">
        <f>415599+101425</f>
        <v>517024</v>
      </c>
    </row>
    <row r="20" spans="1:10" hidden="1" x14ac:dyDescent="0.25">
      <c r="A20" s="10" t="s">
        <v>11</v>
      </c>
      <c r="B20" s="11"/>
      <c r="C20" s="11"/>
      <c r="D20" s="12">
        <f>272391+16880</f>
        <v>289271</v>
      </c>
      <c r="E20" s="12"/>
      <c r="F20" s="12">
        <f>222873+189707+4650</f>
        <v>417230</v>
      </c>
      <c r="G20" s="12"/>
      <c r="H20" s="12">
        <f>237292+193661+5052+7308</f>
        <v>443313</v>
      </c>
      <c r="I20" s="11"/>
      <c r="J20">
        <f>185927+151116+3070</f>
        <v>340113</v>
      </c>
    </row>
    <row r="21" spans="1:10" hidden="1" x14ac:dyDescent="0.25">
      <c r="A21" s="10" t="s">
        <v>12</v>
      </c>
      <c r="B21" s="11"/>
      <c r="C21" s="11"/>
      <c r="D21" s="12">
        <v>27559</v>
      </c>
      <c r="E21" s="12"/>
      <c r="F21" s="12">
        <v>23989</v>
      </c>
      <c r="G21" s="12"/>
      <c r="H21" s="12">
        <v>27852</v>
      </c>
      <c r="I21" s="11"/>
      <c r="J21">
        <v>13529</v>
      </c>
    </row>
    <row r="22" spans="1:10" hidden="1" x14ac:dyDescent="0.25">
      <c r="A22" s="14" t="s">
        <v>13</v>
      </c>
      <c r="B22" s="13"/>
      <c r="C22" s="11"/>
      <c r="D22" s="12">
        <v>-118566</v>
      </c>
      <c r="E22" s="12"/>
      <c r="F22" s="12">
        <v>-116566</v>
      </c>
      <c r="G22" s="12"/>
      <c r="H22" s="12">
        <v>-111090</v>
      </c>
      <c r="I22" s="11"/>
      <c r="J22" s="12">
        <v>-94974</v>
      </c>
    </row>
    <row r="23" spans="1:10" x14ac:dyDescent="0.25">
      <c r="A23" s="11"/>
      <c r="B23" s="11"/>
      <c r="C23" s="11"/>
      <c r="D23" s="13"/>
      <c r="E23" s="13"/>
      <c r="F23" s="13"/>
      <c r="G23" s="13"/>
      <c r="H23" s="13"/>
      <c r="I23" s="11"/>
    </row>
    <row r="24" spans="1:10" x14ac:dyDescent="0.25">
      <c r="A24" s="11"/>
      <c r="B24" s="11"/>
      <c r="C24" s="11"/>
      <c r="D24" s="13"/>
      <c r="E24" s="13"/>
      <c r="F24" s="13"/>
      <c r="G24" s="13"/>
      <c r="H24" s="13"/>
      <c r="I24" s="11"/>
    </row>
    <row r="25" spans="1:10" x14ac:dyDescent="0.25">
      <c r="A25" s="11"/>
      <c r="B25" s="11"/>
      <c r="C25" s="11"/>
      <c r="D25" s="13"/>
      <c r="E25" s="13"/>
      <c r="F25" s="13"/>
      <c r="G25" s="13"/>
      <c r="H25" s="13"/>
      <c r="I25" s="11"/>
    </row>
    <row r="26" spans="1:10" x14ac:dyDescent="0.25">
      <c r="A26" s="11"/>
      <c r="B26" s="11"/>
      <c r="C26" s="11"/>
      <c r="D26" s="13"/>
      <c r="E26" s="13"/>
      <c r="F26" s="13"/>
      <c r="G26" s="13"/>
      <c r="H26" s="13"/>
      <c r="I2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839F-EC5D-4F58-B975-53B392F09649}">
  <dimension ref="A1:V25"/>
  <sheetViews>
    <sheetView tabSelected="1" workbookViewId="0">
      <selection activeCell="R13" sqref="R13"/>
    </sheetView>
  </sheetViews>
  <sheetFormatPr defaultRowHeight="15" x14ac:dyDescent="0.25"/>
  <cols>
    <col min="1" max="1" width="12.7109375" customWidth="1"/>
    <col min="4" max="4" width="9.42578125" style="4" bestFit="1" customWidth="1"/>
    <col min="5" max="8" width="9.140625" style="4"/>
    <col min="16" max="16" width="8.140625" bestFit="1" customWidth="1"/>
    <col min="18" max="18" width="12.140625" bestFit="1" customWidth="1"/>
  </cols>
  <sheetData>
    <row r="1" spans="1:22" s="7" customFormat="1" x14ac:dyDescent="0.25">
      <c r="A1" s="7" t="s">
        <v>7</v>
      </c>
      <c r="D1" s="8">
        <v>2021</v>
      </c>
      <c r="E1" s="8"/>
      <c r="F1" s="8">
        <v>2021</v>
      </c>
      <c r="G1" s="8"/>
      <c r="H1" s="8">
        <v>2021</v>
      </c>
      <c r="J1" s="8">
        <v>2021</v>
      </c>
      <c r="L1" s="8">
        <v>2022</v>
      </c>
      <c r="N1" s="8">
        <v>2022</v>
      </c>
      <c r="P1" s="8">
        <v>2022</v>
      </c>
      <c r="Q1" s="8"/>
      <c r="R1" s="8">
        <v>2022</v>
      </c>
    </row>
    <row r="2" spans="1:22" x14ac:dyDescent="0.25">
      <c r="D2" s="4" t="s">
        <v>14</v>
      </c>
      <c r="F2" s="4" t="s">
        <v>15</v>
      </c>
      <c r="H2" s="4" t="s">
        <v>16</v>
      </c>
      <c r="J2" s="4" t="s">
        <v>17</v>
      </c>
      <c r="L2" s="4" t="s">
        <v>14</v>
      </c>
      <c r="M2" s="4"/>
      <c r="N2" s="4" t="s">
        <v>15</v>
      </c>
      <c r="O2" s="4"/>
      <c r="P2" s="4" t="s">
        <v>16</v>
      </c>
      <c r="Q2" s="4"/>
      <c r="R2" s="4" t="s">
        <v>17</v>
      </c>
    </row>
    <row r="3" spans="1:22" x14ac:dyDescent="0.25">
      <c r="A3" s="1" t="s">
        <v>0</v>
      </c>
      <c r="N3" s="4"/>
    </row>
    <row r="4" spans="1:22" x14ac:dyDescent="0.25">
      <c r="N4" s="4"/>
    </row>
    <row r="5" spans="1:22" s="2" customFormat="1" x14ac:dyDescent="0.25">
      <c r="A5" s="2" t="s">
        <v>18</v>
      </c>
      <c r="D5" s="5">
        <f>214568-116566</f>
        <v>98002</v>
      </c>
      <c r="E5" s="5"/>
      <c r="F5" s="5">
        <f>+D7</f>
        <v>101319</v>
      </c>
      <c r="G5" s="5"/>
      <c r="H5" s="5">
        <f>+F7</f>
        <v>174937</v>
      </c>
      <c r="J5" s="5">
        <f>+H7</f>
        <v>79689</v>
      </c>
      <c r="L5" s="5">
        <f>+J7</f>
        <v>166333</v>
      </c>
      <c r="N5" s="16">
        <f>+L7</f>
        <v>72376</v>
      </c>
      <c r="P5" s="17">
        <f>+N7</f>
        <v>81640</v>
      </c>
      <c r="R5" s="16">
        <f>+P7</f>
        <v>241679</v>
      </c>
    </row>
    <row r="6" spans="1:22" s="2" customFormat="1" x14ac:dyDescent="0.25">
      <c r="D6" s="5"/>
      <c r="E6" s="5"/>
      <c r="F6" s="5"/>
      <c r="G6" s="5"/>
      <c r="H6" s="5"/>
      <c r="J6" s="5"/>
      <c r="N6" s="5"/>
      <c r="R6" s="5"/>
    </row>
    <row r="7" spans="1:22" s="2" customFormat="1" x14ac:dyDescent="0.25">
      <c r="A7" s="2" t="s">
        <v>19</v>
      </c>
      <c r="D7" s="5">
        <f>119810-18491</f>
        <v>101319</v>
      </c>
      <c r="E7" s="5"/>
      <c r="F7" s="5">
        <f>119810+66185-18491+7433</f>
        <v>174937</v>
      </c>
      <c r="G7" s="5"/>
      <c r="H7" s="5">
        <f>185995-95248-11058</f>
        <v>79689</v>
      </c>
      <c r="J7" s="5">
        <f>277423-111090</f>
        <v>166333</v>
      </c>
      <c r="L7" s="16">
        <f>111005-38629</f>
        <v>72376</v>
      </c>
      <c r="M7" s="17"/>
      <c r="N7" s="16">
        <f>97707+N22</f>
        <v>81640</v>
      </c>
      <c r="O7" s="17"/>
      <c r="P7" s="17">
        <f>257745-16066</f>
        <v>241679</v>
      </c>
      <c r="R7" s="20">
        <f>297113+R22</f>
        <v>202139</v>
      </c>
    </row>
    <row r="8" spans="1:22" x14ac:dyDescent="0.25">
      <c r="N8" s="4"/>
    </row>
    <row r="9" spans="1:22" x14ac:dyDescent="0.25">
      <c r="A9" t="s">
        <v>4</v>
      </c>
      <c r="D9" s="4">
        <f>1/2*(D5+D7)</f>
        <v>99660.5</v>
      </c>
      <c r="F9" s="4">
        <f>1/2*(F5+F7)</f>
        <v>138128</v>
      </c>
      <c r="H9" s="9">
        <f>1/2*(H5+H7)</f>
        <v>127313</v>
      </c>
      <c r="J9" s="9">
        <f>1/2*(J5+J7)</f>
        <v>123011</v>
      </c>
      <c r="L9" s="9">
        <f>1/2*(L5+L7)</f>
        <v>119354.5</v>
      </c>
      <c r="N9" s="9">
        <f>1/2*(N5+N7)</f>
        <v>77008</v>
      </c>
      <c r="P9" s="9">
        <f>1/2*(P5+P7)</f>
        <v>161659.5</v>
      </c>
      <c r="R9" s="9">
        <f>1/2*(R5+R7)</f>
        <v>221909</v>
      </c>
    </row>
    <row r="10" spans="1:22" x14ac:dyDescent="0.25">
      <c r="N10" s="4"/>
    </row>
    <row r="11" spans="1:22" x14ac:dyDescent="0.25">
      <c r="A11" s="1" t="s">
        <v>3</v>
      </c>
      <c r="D11" s="4">
        <f>SUM(D19:D22)</f>
        <v>87334</v>
      </c>
      <c r="F11" s="4">
        <f>SUM(F19:F22)</f>
        <v>275985</v>
      </c>
      <c r="H11" s="4">
        <f>SUM(H19:H22)</f>
        <v>195321</v>
      </c>
      <c r="J11" s="4">
        <f>SUM(J19:J22)</f>
        <v>192546</v>
      </c>
      <c r="L11" s="4">
        <f>SUM(L19:L22)</f>
        <v>89074</v>
      </c>
      <c r="N11" s="4">
        <f>SUM(N19:N22)</f>
        <v>145117</v>
      </c>
      <c r="P11" s="4">
        <f>SUM(P19:P22)</f>
        <v>306280</v>
      </c>
      <c r="R11" s="9">
        <f>SUM(R19:R22)</f>
        <v>164459</v>
      </c>
    </row>
    <row r="12" spans="1:22" x14ac:dyDescent="0.25">
      <c r="N12" s="4"/>
    </row>
    <row r="13" spans="1:22" x14ac:dyDescent="0.25">
      <c r="A13" s="1" t="s">
        <v>5</v>
      </c>
      <c r="D13" s="6">
        <f>90*D9/D11</f>
        <v>102.70278471156709</v>
      </c>
      <c r="E13" s="3"/>
      <c r="F13" s="6">
        <f>90*F9/F11</f>
        <v>45.044187184086091</v>
      </c>
      <c r="G13" s="3"/>
      <c r="H13" s="6">
        <f>90*H9/H11</f>
        <v>58.663277374168679</v>
      </c>
      <c r="J13" s="6">
        <f>90*J9/J11</f>
        <v>57.497896606525195</v>
      </c>
      <c r="L13" s="6">
        <f>90*L9/L11</f>
        <v>120.59529155533602</v>
      </c>
      <c r="N13" s="6">
        <f>90*N9/N11</f>
        <v>47.759531963863644</v>
      </c>
      <c r="P13" s="6">
        <f>90*P9/P11</f>
        <v>47.503444560532849</v>
      </c>
      <c r="R13" s="6">
        <f>90*R9/R11</f>
        <v>121.43944691382046</v>
      </c>
      <c r="U13" s="15"/>
      <c r="V13" s="15"/>
    </row>
    <row r="14" spans="1:22" x14ac:dyDescent="0.25">
      <c r="A14" s="1" t="s">
        <v>6</v>
      </c>
      <c r="N14" s="4"/>
    </row>
    <row r="15" spans="1:22" x14ac:dyDescent="0.25">
      <c r="N15" s="4"/>
    </row>
    <row r="16" spans="1:22" x14ac:dyDescent="0.25">
      <c r="A16" s="1" t="s">
        <v>8</v>
      </c>
      <c r="D16" s="4">
        <v>36</v>
      </c>
      <c r="F16" s="4">
        <v>55</v>
      </c>
      <c r="H16" s="4">
        <v>48</v>
      </c>
      <c r="J16" s="4">
        <v>48</v>
      </c>
      <c r="L16" s="4">
        <v>36</v>
      </c>
      <c r="N16" s="4">
        <v>37</v>
      </c>
      <c r="P16" s="4">
        <v>50</v>
      </c>
      <c r="R16" s="4">
        <v>59</v>
      </c>
    </row>
    <row r="17" spans="1:20" x14ac:dyDescent="0.25">
      <c r="A17" s="1" t="s">
        <v>9</v>
      </c>
    </row>
    <row r="19" spans="1:20" hidden="1" x14ac:dyDescent="0.25">
      <c r="A19" s="10" t="s">
        <v>10</v>
      </c>
      <c r="B19" s="11" t="s">
        <v>20</v>
      </c>
      <c r="C19" s="11"/>
      <c r="D19" s="12">
        <f>17121+28802</f>
        <v>45923</v>
      </c>
      <c r="E19" s="12"/>
      <c r="F19" s="12">
        <f>110586+39222+2481</f>
        <v>152289</v>
      </c>
      <c r="G19" s="12"/>
      <c r="H19" s="12">
        <f>39533+2300+62152</f>
        <v>103985</v>
      </c>
      <c r="J19">
        <f>13595-4781+106025</f>
        <v>114839</v>
      </c>
      <c r="L19">
        <f>25303+30779</f>
        <v>56082</v>
      </c>
      <c r="N19">
        <f>20195+68938</f>
        <v>89133</v>
      </c>
      <c r="P19">
        <f>38158+208884</f>
        <v>247042</v>
      </c>
      <c r="R19" s="15">
        <f>17968+106997-198</f>
        <v>124767</v>
      </c>
      <c r="T19" s="15"/>
    </row>
    <row r="20" spans="1:20" hidden="1" x14ac:dyDescent="0.25">
      <c r="A20" s="10" t="s">
        <v>11</v>
      </c>
      <c r="B20" s="11" t="s">
        <v>21</v>
      </c>
      <c r="C20" s="11"/>
      <c r="D20" s="12">
        <f>9965+45535+1502</f>
        <v>57002</v>
      </c>
      <c r="E20" s="12"/>
      <c r="F20" s="12">
        <f>86682+7308+33068+1210</f>
        <v>128268</v>
      </c>
      <c r="G20" s="12"/>
      <c r="H20" s="12">
        <f>41107+45499+1920</f>
        <v>88526</v>
      </c>
      <c r="J20">
        <f>99538+69559+420</f>
        <v>169517</v>
      </c>
      <c r="L20">
        <f>30195+37156+1420</f>
        <v>68771</v>
      </c>
      <c r="N20">
        <f>35620+657+32863</f>
        <v>69140</v>
      </c>
      <c r="P20" s="15">
        <f>36809+34484</f>
        <v>71293</v>
      </c>
      <c r="R20" s="15">
        <f>82626+46605+1650+28</f>
        <v>130909</v>
      </c>
      <c r="T20" s="15"/>
    </row>
    <row r="21" spans="1:20" hidden="1" x14ac:dyDescent="0.25">
      <c r="A21" s="10" t="s">
        <v>12</v>
      </c>
      <c r="B21" s="11">
        <v>10200</v>
      </c>
      <c r="C21" s="11"/>
      <c r="D21" s="12">
        <v>2900</v>
      </c>
      <c r="E21" s="12"/>
      <c r="F21" s="12">
        <v>2861</v>
      </c>
      <c r="G21" s="12"/>
      <c r="H21" s="12">
        <v>2810</v>
      </c>
      <c r="J21">
        <v>19280</v>
      </c>
      <c r="L21">
        <v>2850</v>
      </c>
      <c r="N21">
        <v>2911</v>
      </c>
      <c r="P21" s="15">
        <v>4011</v>
      </c>
      <c r="R21" s="15">
        <v>3757</v>
      </c>
    </row>
    <row r="22" spans="1:20" hidden="1" x14ac:dyDescent="0.25">
      <c r="A22" s="14" t="s">
        <v>13</v>
      </c>
      <c r="B22" s="13"/>
      <c r="C22" s="11"/>
      <c r="D22" s="12">
        <v>-18491</v>
      </c>
      <c r="E22" s="12"/>
      <c r="F22" s="12">
        <v>-7433</v>
      </c>
      <c r="G22" s="12"/>
      <c r="H22" s="12">
        <v>0</v>
      </c>
      <c r="J22">
        <v>-111090</v>
      </c>
      <c r="L22" s="18">
        <v>-38629</v>
      </c>
      <c r="N22" s="18">
        <v>-16067</v>
      </c>
      <c r="P22" s="18">
        <v>-16066</v>
      </c>
      <c r="R22" s="19">
        <v>-94974</v>
      </c>
    </row>
    <row r="23" spans="1:20" x14ac:dyDescent="0.25">
      <c r="A23" s="11"/>
      <c r="B23" s="11"/>
      <c r="C23" s="11"/>
      <c r="D23" s="13"/>
      <c r="E23" s="13"/>
      <c r="F23" s="13"/>
      <c r="G23" s="13"/>
      <c r="H23" s="13"/>
    </row>
    <row r="24" spans="1:20" x14ac:dyDescent="0.25">
      <c r="A24" s="11"/>
      <c r="B24" s="11"/>
      <c r="C24" s="11"/>
      <c r="D24" s="13"/>
      <c r="E24" s="13"/>
      <c r="F24" s="13"/>
      <c r="G24" s="13"/>
      <c r="H24" s="13"/>
    </row>
    <row r="25" spans="1:20" x14ac:dyDescent="0.25">
      <c r="A25" s="11"/>
      <c r="B25" s="11"/>
      <c r="C25" s="11"/>
      <c r="D25" s="13"/>
      <c r="E25" s="13"/>
      <c r="F25" s="13"/>
      <c r="G25" s="13"/>
      <c r="H25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E3060BC5CA744CA633C982A1C96EDA" ma:contentTypeVersion="5" ma:contentTypeDescription="Creare un nuovo documento." ma:contentTypeScope="" ma:versionID="b0201a619bdecceca1fe3a67ccde69c5">
  <xsd:schema xmlns:xsd="http://www.w3.org/2001/XMLSchema" xmlns:xs="http://www.w3.org/2001/XMLSchema" xmlns:p="http://schemas.microsoft.com/office/2006/metadata/properties" xmlns:ns3="675240e3-c8c9-4ddc-958e-a454388fbca7" targetNamespace="http://schemas.microsoft.com/office/2006/metadata/properties" ma:root="true" ma:fieldsID="66c3fa85628fb412eb97b2e5fa058a95" ns3:_="">
    <xsd:import namespace="675240e3-c8c9-4ddc-958e-a454388fbc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240e3-c8c9-4ddc-958e-a454388fb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9C8B5-57C7-4820-8A5D-27532F4E3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240e3-c8c9-4ddc-958e-a454388fb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A52862-9152-4E6C-8B0D-65C2ABC091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923692-A582-45A0-9838-8D78687D3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annuale</vt:lpstr>
      <vt:lpstr>trimestrale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dcterms:created xsi:type="dcterms:W3CDTF">2019-12-18T11:00:02Z</dcterms:created>
  <dcterms:modified xsi:type="dcterms:W3CDTF">2023-07-14T08:51:57Z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0x01010000E3060BC5CA744CA633C982A1C96EDA</vt:lpwstr>
  </property>
</Properties>
</file>